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- filmy instruktażowe\"/>
    </mc:Choice>
  </mc:AlternateContent>
  <bookViews>
    <workbookView xWindow="12" yWindow="-12" windowWidth="13752" windowHeight="12828" activeTab="1"/>
  </bookViews>
  <sheets>
    <sheet name="Dane to duzupełniena" sheetId="6" r:id="rId1"/>
    <sheet name="Stan wartościowy rzeczowego " sheetId="5" r:id="rId2"/>
    <sheet name="bilans " sheetId="1" r:id="rId3"/>
    <sheet name="Rachunek zysków i strat" sheetId="2" r:id="rId4"/>
    <sheet name="wskaźniki" sheetId="3" r:id="rId5"/>
  </sheets>
  <definedNames>
    <definedName name="_Toc153129567" localSheetId="3">'Rachunek zysków i strat'!$A$1</definedName>
    <definedName name="_xlnm.Print_Area" localSheetId="2">'bilans '!$A$1:$F$33</definedName>
    <definedName name="_xlnm.Print_Area" localSheetId="3">'Rachunek zysków i strat'!$A$1:$F$21</definedName>
  </definedNames>
  <calcPr calcId="162913"/>
</workbook>
</file>

<file path=xl/calcChain.xml><?xml version="1.0" encoding="utf-8"?>
<calcChain xmlns="http://schemas.openxmlformats.org/spreadsheetml/2006/main">
  <c r="D14" i="2" l="1"/>
  <c r="B23" i="1"/>
  <c r="E8" i="1"/>
  <c r="F8" i="1" s="1"/>
  <c r="D8" i="1"/>
  <c r="C30" i="1"/>
  <c r="F17" i="1"/>
  <c r="E6" i="1"/>
  <c r="F6" i="1" s="1"/>
  <c r="E7" i="1"/>
  <c r="F7" i="1" s="1"/>
  <c r="D7" i="1"/>
  <c r="D6" i="1"/>
  <c r="C7" i="1"/>
  <c r="B7" i="1"/>
  <c r="F15" i="1" l="1"/>
  <c r="B9" i="2"/>
  <c r="C17" i="2"/>
  <c r="D17" i="2" s="1"/>
  <c r="E17" i="2" s="1"/>
  <c r="F17" i="2" s="1"/>
  <c r="C16" i="2"/>
  <c r="D16" i="2" s="1"/>
  <c r="E16" i="2" s="1"/>
  <c r="F16" i="2" s="1"/>
  <c r="C14" i="2"/>
  <c r="C13" i="2"/>
  <c r="D13" i="2" s="1"/>
  <c r="E13" i="2" s="1"/>
  <c r="F13" i="2" s="1"/>
  <c r="D12" i="2"/>
  <c r="E12" i="2" s="1"/>
  <c r="F12" i="2" s="1"/>
  <c r="C12" i="2"/>
  <c r="D11" i="2"/>
  <c r="E11" i="2" s="1"/>
  <c r="F11" i="2" s="1"/>
  <c r="C11" i="2"/>
  <c r="C8" i="2"/>
  <c r="D8" i="2" s="1"/>
  <c r="E8" i="2" s="1"/>
  <c r="F8" i="2" s="1"/>
  <c r="B30" i="1"/>
  <c r="D30" i="1" s="1"/>
  <c r="E30" i="1" s="1"/>
  <c r="F30" i="1" s="1"/>
  <c r="D29" i="1"/>
  <c r="E29" i="1" s="1"/>
  <c r="F29" i="1" s="1"/>
  <c r="C29" i="1"/>
  <c r="D10" i="6"/>
  <c r="D6" i="6" s="1"/>
  <c r="C10" i="2" s="1"/>
  <c r="D10" i="2" s="1"/>
  <c r="E10" i="2" s="1"/>
  <c r="F10" i="2" s="1"/>
  <c r="B19" i="1"/>
  <c r="D18" i="1"/>
  <c r="E18" i="1" s="1"/>
  <c r="F18" i="1" s="1"/>
  <c r="C18" i="1"/>
  <c r="C17" i="1"/>
  <c r="C19" i="1" s="1"/>
  <c r="C16" i="1"/>
  <c r="D16" i="1" s="1"/>
  <c r="E16" i="1" s="1"/>
  <c r="F16" i="1" s="1"/>
  <c r="B6" i="1"/>
  <c r="C6" i="1" s="1"/>
  <c r="B8" i="1"/>
  <c r="C8" i="1" s="1"/>
  <c r="B9" i="1"/>
  <c r="C9" i="1" s="1"/>
  <c r="D9" i="1" s="1"/>
  <c r="E9" i="1" s="1"/>
  <c r="F9" i="1" s="1"/>
  <c r="D17" i="1" l="1"/>
  <c r="C27" i="1"/>
  <c r="B27" i="1"/>
  <c r="D4" i="6"/>
  <c r="E17" i="1" l="1"/>
  <c r="D19" i="1"/>
  <c r="B5" i="1"/>
  <c r="C5" i="1" s="1"/>
  <c r="D5" i="1" s="1"/>
  <c r="E5" i="1" s="1"/>
  <c r="F5" i="1" s="1"/>
  <c r="D28" i="1"/>
  <c r="D31" i="1"/>
  <c r="F19" i="1" l="1"/>
  <c r="E19" i="1"/>
  <c r="D27" i="1"/>
  <c r="E28" i="1"/>
  <c r="E14" i="2"/>
  <c r="F14" i="2" s="1"/>
  <c r="E15" i="2"/>
  <c r="F15" i="2" s="1"/>
  <c r="D15" i="2"/>
  <c r="C15" i="2"/>
  <c r="B4" i="2"/>
  <c r="B18" i="2" s="1"/>
  <c r="B21" i="2" s="1"/>
  <c r="F28" i="1" l="1"/>
  <c r="D3" i="6"/>
  <c r="E6" i="6"/>
  <c r="F6" i="6"/>
  <c r="I6" i="1"/>
  <c r="I5" i="1"/>
  <c r="D2" i="6" l="1"/>
  <c r="D5" i="6" s="1"/>
  <c r="F4" i="6" l="1"/>
  <c r="E4" i="6"/>
  <c r="F3" i="6"/>
  <c r="E3" i="6"/>
  <c r="C2" i="6"/>
  <c r="C5" i="6" s="1"/>
  <c r="B2" i="6"/>
  <c r="C8" i="5"/>
  <c r="C4" i="2"/>
  <c r="C19" i="2" l="1"/>
  <c r="F2" i="6"/>
  <c r="F5" i="6" s="1"/>
  <c r="E2" i="6"/>
  <c r="E5" i="6" l="1"/>
  <c r="E31" i="1" s="1"/>
  <c r="C20" i="2"/>
  <c r="F31" i="1" l="1"/>
  <c r="F27" i="1" s="1"/>
  <c r="E27" i="1"/>
  <c r="E4" i="2"/>
  <c r="C9" i="2" l="1"/>
  <c r="C18" i="2" s="1"/>
  <c r="B24" i="1"/>
  <c r="C24" i="1" s="1"/>
  <c r="D24" i="1" s="1"/>
  <c r="E24" i="1" s="1"/>
  <c r="F24" i="1" s="1"/>
  <c r="D4" i="2"/>
  <c r="F4" i="2"/>
  <c r="E4" i="3" l="1"/>
  <c r="F9" i="2" l="1"/>
  <c r="F18" i="2" s="1"/>
  <c r="D9" i="2"/>
  <c r="D18" i="2" s="1"/>
  <c r="E20" i="2"/>
  <c r="E9" i="2"/>
  <c r="E18" i="2" s="1"/>
  <c r="C21" i="2" l="1"/>
  <c r="D19" i="2"/>
  <c r="F20" i="2"/>
  <c r="D20" i="2"/>
  <c r="E19" i="2"/>
  <c r="E21" i="2" s="1"/>
  <c r="F19" i="2"/>
  <c r="H4" i="3" l="1"/>
  <c r="H5" i="3" s="1"/>
  <c r="H7" i="3"/>
  <c r="F7" i="3"/>
  <c r="F4" i="3"/>
  <c r="F5" i="3" s="1"/>
  <c r="D21" i="2"/>
  <c r="F21" i="2"/>
  <c r="I4" i="3" l="1"/>
  <c r="I5" i="3" s="1"/>
  <c r="I7" i="3"/>
  <c r="G4" i="3"/>
  <c r="G5" i="3" s="1"/>
  <c r="G7" i="3"/>
  <c r="B10" i="1" l="1"/>
  <c r="C10" i="1" l="1"/>
  <c r="F6" i="3" s="1"/>
  <c r="D10" i="1"/>
  <c r="E10" i="1"/>
  <c r="F10" i="1"/>
  <c r="H6" i="3" l="1"/>
  <c r="I6" i="3"/>
  <c r="G6" i="3"/>
  <c r="C4" i="1"/>
  <c r="C21" i="1" s="1"/>
  <c r="B4" i="1"/>
  <c r="B21" i="1" s="1"/>
  <c r="B22" i="1" s="1"/>
  <c r="B32" i="1" s="1"/>
  <c r="B33" i="1" s="1"/>
  <c r="F8" i="3" l="1"/>
  <c r="C23" i="1"/>
  <c r="C22" i="1" l="1"/>
  <c r="F9" i="3"/>
  <c r="D4" i="1"/>
  <c r="D21" i="1" s="1"/>
  <c r="C32" i="1" l="1"/>
  <c r="C33" i="1" s="1"/>
  <c r="F10" i="3"/>
  <c r="G8" i="3"/>
  <c r="D23" i="1"/>
  <c r="E4" i="1"/>
  <c r="E21" i="1" s="1"/>
  <c r="F4" i="1"/>
  <c r="F21" i="1" s="1"/>
  <c r="D22" i="1" l="1"/>
  <c r="G9" i="3"/>
  <c r="H8" i="3"/>
  <c r="E23" i="1"/>
  <c r="F23" i="1"/>
  <c r="I8" i="3"/>
  <c r="H9" i="3" l="1"/>
  <c r="E22" i="1"/>
  <c r="G10" i="3"/>
  <c r="D32" i="1"/>
  <c r="D33" i="1" s="1"/>
  <c r="F22" i="1"/>
  <c r="I9" i="3"/>
  <c r="I10" i="3" l="1"/>
  <c r="F32" i="1"/>
  <c r="F33" i="1" s="1"/>
  <c r="E32" i="1"/>
  <c r="E33" i="1" s="1"/>
  <c r="H10" i="3"/>
</calcChain>
</file>

<file path=xl/sharedStrings.xml><?xml version="1.0" encoding="utf-8"?>
<sst xmlns="http://schemas.openxmlformats.org/spreadsheetml/2006/main" count="122" uniqueCount="110">
  <si>
    <t>WYSZCZEGÓLNIENIE</t>
  </si>
  <si>
    <t>(n)</t>
  </si>
  <si>
    <t>(n+1)</t>
  </si>
  <si>
    <t>(n+2)</t>
  </si>
  <si>
    <t>(n+3)</t>
  </si>
  <si>
    <t>I. Majątek trwały</t>
  </si>
  <si>
    <t>1. Grunty własne</t>
  </si>
  <si>
    <t>2. Budynki i budowle</t>
  </si>
  <si>
    <t>3. Maszyny i urządzenia</t>
  </si>
  <si>
    <t>4. Środki transportu</t>
  </si>
  <si>
    <t>5. Inne składniki</t>
  </si>
  <si>
    <t>II. Majątek obrotowy</t>
  </si>
  <si>
    <t>1. Zapasy</t>
  </si>
  <si>
    <t>- materiały</t>
  </si>
  <si>
    <t>- produkty gotowe</t>
  </si>
  <si>
    <t>- produkcja niezakończona</t>
  </si>
  <si>
    <t>- inne</t>
  </si>
  <si>
    <t>2. Należności</t>
  </si>
  <si>
    <t>3. Środki pieniężne:</t>
  </si>
  <si>
    <t>- w kasie</t>
  </si>
  <si>
    <t>- na rachunku bankowym</t>
  </si>
  <si>
    <t>4. Rozliczenia międzyokresowe czynne</t>
  </si>
  <si>
    <t>RAZEM AKTYWA (I+II)</t>
  </si>
  <si>
    <t>1. Kapitał własny</t>
  </si>
  <si>
    <t xml:space="preserve">   w tym wynik finansowy</t>
  </si>
  <si>
    <t xml:space="preserve">2. Rezerwy </t>
  </si>
  <si>
    <t>3. Kredyty i pożyczki długoterminowe</t>
  </si>
  <si>
    <t>II. Zobowiązania krótkoterminowe</t>
  </si>
  <si>
    <t>1. Kredyty i pożyczki krótkoterminowe</t>
  </si>
  <si>
    <t>2.Zobowiązania z tyt. dostaw i usług</t>
  </si>
  <si>
    <t>3. Inne zobowiązania</t>
  </si>
  <si>
    <t>4. Rozliczenia międzyokresowe bierne</t>
  </si>
  <si>
    <t>RAZEM PASYWA (I+II)</t>
  </si>
  <si>
    <t>(n+4)</t>
  </si>
  <si>
    <t>Rachunek zysków i strat ma obejmować ostatni pełny rok (n) oraz prospekcję na kolejne 3 lata, bądź odpowiednio dłużej tak aby objąć pełen rok bilansowy po zakończeniu operacji. W tym ostatnim przypadku należy dokleić odpowiednią liczbę kolumn</t>
  </si>
  <si>
    <t>Wyszczególnienie</t>
  </si>
  <si>
    <t xml:space="preserve">          (n)</t>
  </si>
  <si>
    <t xml:space="preserve">        (n+1)</t>
  </si>
  <si>
    <t xml:space="preserve">        (n+2)</t>
  </si>
  <si>
    <t>A. Przychody ze sprzedaży i zrównane z nimi</t>
  </si>
  <si>
    <t>I. Przychody  ze sprzedaży produktów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</si>
  <si>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</si>
  <si>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</si>
  <si>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</si>
  <si>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</si>
  <si>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>I. Amortyzacja</t>
  </si>
  <si>
    <t>II. Zużycie materiałów i energii</t>
  </si>
  <si>
    <t xml:space="preserve">III. Usługi obce </t>
  </si>
  <si>
    <t>IV. Podatki i opłaty</t>
  </si>
  <si>
    <t>V. Wynagrodzenia</t>
  </si>
  <si>
    <t>VI. Ubezpieczenia społeczne i inne świadczenia</t>
  </si>
  <si>
    <t>VII. Pozostałe koszty</t>
  </si>
  <si>
    <t>VIII. Wartość sprzedanych towarów i materiałów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</si>
  <si>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</si>
  <si>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</si>
  <si>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</si>
  <si>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</si>
  <si>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>Wskaźniki dotyczą wyników za ostatni pełny rok (n) działalności oraz prospekcję na kolejne 3 lata, bądź odpowiednio dłużej tak aby objąć pełen rok bilansowy po zakończeniu operacji. W tym ostatnim przypadku należy dodać odpowiednią liczbę kolumn</t>
  </si>
  <si>
    <t>L.p.</t>
  </si>
  <si>
    <t>Typ wskaźnika</t>
  </si>
  <si>
    <t>Nazwa wskaźnika</t>
  </si>
  <si>
    <t>Wzór do obliczeń</t>
  </si>
  <si>
    <t>1.</t>
  </si>
  <si>
    <t>Dochodowość</t>
  </si>
  <si>
    <t>Zysk (dochód) operacyjny</t>
  </si>
  <si>
    <t>2.</t>
  </si>
  <si>
    <t>Opłacalność prowadzonej działalności</t>
  </si>
  <si>
    <t xml:space="preserve">Rentowność na działalności operacyjnej </t>
  </si>
  <si>
    <r>
      <t>Zysk operacyjny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(przychody ze sprzedaży produktów i usług+inne przychody operacyjne)</t>
    </r>
  </si>
  <si>
    <t>3.</t>
  </si>
  <si>
    <t>Wskaźniki płynności finansowej</t>
  </si>
  <si>
    <t>Wskaźnik płynności szybkiej  (QR)</t>
  </si>
  <si>
    <r>
      <t>(aktywa obrotowe-zapasy-rozliczenia międzyokresowe czynne)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(zobowiązania krótkoterminowe*</t>
    </r>
  </si>
  <si>
    <t>4.</t>
  </si>
  <si>
    <t>Wskaźnik pokrycia zobowiązań nadwyżką finansową</t>
  </si>
  <si>
    <r>
      <t>(zysk netto**+amortyzacja)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zobowiązania ogółem</t>
    </r>
  </si>
  <si>
    <t>5.</t>
  </si>
  <si>
    <t>Wskaźniki wypłacalności</t>
  </si>
  <si>
    <t>Wskaźnik zadłużenia ogólnego</t>
  </si>
  <si>
    <r>
      <t>Zobowiązania ogółem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ogółem</t>
    </r>
  </si>
  <si>
    <t>6.</t>
  </si>
  <si>
    <t>Wskaźnik zadłużenia długookresowego</t>
  </si>
  <si>
    <r>
      <t>Zobowiązania długoterminowe</t>
    </r>
    <r>
      <rPr>
        <sz val="14"/>
        <color theme="1"/>
        <rFont val="Century Gothic"/>
        <family val="2"/>
        <charset val="238"/>
      </rPr>
      <t>/</t>
    </r>
    <r>
      <rPr>
        <sz val="16"/>
        <color theme="1"/>
        <rFont val="Century Gothic"/>
        <family val="2"/>
        <charset val="238"/>
      </rPr>
      <t xml:space="preserve"> </t>
    </r>
    <r>
      <rPr>
        <sz val="9"/>
        <color theme="1"/>
        <rFont val="Century Gothic"/>
        <family val="2"/>
        <charset val="238"/>
      </rPr>
      <t>(kapitałwłasny+rezerwy)</t>
    </r>
  </si>
  <si>
    <t>7.</t>
  </si>
  <si>
    <t>Wskaźnik tzw. złotej zasady bilansowej</t>
  </si>
  <si>
    <r>
      <t>Kapitał stały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trwałe</t>
    </r>
    <r>
      <rPr>
        <sz val="16"/>
        <color theme="1"/>
        <rFont val="Century Gothic"/>
        <family val="2"/>
        <charset val="238"/>
      </rPr>
      <t xml:space="preserve"> </t>
    </r>
  </si>
  <si>
    <t>przychód z dotacji</t>
  </si>
  <si>
    <t>sprawdzenie</t>
  </si>
  <si>
    <t>amortyzacja środki transportu</t>
  </si>
  <si>
    <t>Lp.</t>
  </si>
  <si>
    <t>I. Kapitał stały</t>
  </si>
  <si>
    <t>Amortyzacja budynek</t>
  </si>
  <si>
    <t>Amortyzacja suma</t>
  </si>
  <si>
    <t>budynki - budowa (proszę podać wartość nakładów poniesionych na budowę w roku zakończenia budowy)</t>
  </si>
  <si>
    <t>Amortyzacja urządzeń (maszyny i urządzenia)</t>
  </si>
  <si>
    <t>Dotacja - Proszę wpisać wnioskowaną kwotę dofinansowania</t>
  </si>
  <si>
    <t>urządzenie - zakup (proszę podać łączną wartość zakupów środków trwałych)</t>
  </si>
  <si>
    <t>Stan wartościowy rzeczowego majątku trwałego przedsiębiorstwa/wnioskodawcy:</t>
  </si>
  <si>
    <t>Rodzaj majątku rzeczowego</t>
  </si>
  <si>
    <t>Wartość (zł)*</t>
  </si>
  <si>
    <t>Grunty własne</t>
  </si>
  <si>
    <t>Budynki i budowle</t>
  </si>
  <si>
    <t>Urządzenia techniczne</t>
  </si>
  <si>
    <t>Środki transportu</t>
  </si>
  <si>
    <t>Pozostałe środki trwałe</t>
  </si>
  <si>
    <t>Razem:</t>
  </si>
  <si>
    <t>środek transportu - zakup (proszę podać łączną wartość zakupów środków transportu)</t>
  </si>
  <si>
    <t>Rok</t>
  </si>
  <si>
    <t>% dofinansowania</t>
  </si>
  <si>
    <t>Bilans ma obejmować ostatni pełny rok (n)** oraz prospekcję na kolejne 3 lata, bądź odpo-wiednio dłużej tak aby objąć pełen rok bilansowy po zakończeniu operacji. W tym ostatnim przypadku należy dodać odpowiednią liczbę kolumn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</si>
</sst>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0\ _z_ł"/>
  </numFmts>
  <fonts count="13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9"/>
      <color rgb="FF333333"/>
      <name val="Century Gothic"/>
      <family val="2"/>
      <charset val="238"/>
    </font>
    <font>
      <sz val="9"/>
      <color rgb="FF333333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  <font>
      <sz val="10"/>
      <color theme="1"/>
      <name val="digital1"/>
      <family val="2"/>
      <charset val="238"/>
    </font>
    <font>
      <b/>
      <sz val="10"/>
      <color theme="1"/>
      <name val="digital1"/>
      <family val="2"/>
      <charset val="238"/>
    </font>
    <font>
      <sz val="10"/>
      <color rgb="FF000000"/>
      <name val="digital1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8" fillId="0" borderId="0" xfId="0" applyFont="1"/>
    <xf numFmtId="4" fontId="9" fillId="0" borderId="0" xfId="0" applyNumberFormat="1" applyFont="1"/>
    <xf numFmtId="164" fontId="10" fillId="0" borderId="0" xfId="0" applyNumberFormat="1" applyFont="1"/>
    <xf numFmtId="164" fontId="8" fillId="0" borderId="0" xfId="0" applyNumberFormat="1" applyFont="1"/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4" xfId="0" applyFont="1" applyBorder="1" applyAlignment="1">
      <alignment wrapText="1"/>
    </xf>
    <xf numFmtId="164" fontId="8" fillId="4" borderId="4" xfId="0" applyNumberFormat="1" applyFont="1" applyFill="1" applyBorder="1"/>
    <xf numFmtId="164" fontId="0" fillId="4" borderId="4" xfId="0" applyNumberFormat="1" applyFill="1" applyBorder="1"/>
    <xf numFmtId="0" fontId="8" fillId="4" borderId="0" xfId="0" applyFont="1" applyFill="1"/>
    <xf numFmtId="164" fontId="8" fillId="0" borderId="4" xfId="0" applyNumberFormat="1" applyFont="1" applyFill="1" applyBorder="1"/>
    <xf numFmtId="164" fontId="0" fillId="0" borderId="4" xfId="0" applyNumberFormat="1" applyFill="1" applyBorder="1"/>
    <xf numFmtId="0" fontId="12" fillId="2" borderId="1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44" fontId="12" fillId="0" borderId="2" xfId="0" applyNumberFormat="1" applyFont="1" applyBorder="1" applyAlignment="1">
      <alignment horizontal="center" vertical="center" wrapText="1"/>
    </xf>
    <xf numFmtId="44" fontId="0" fillId="0" borderId="0" xfId="0" applyNumberFormat="1"/>
    <xf numFmtId="9" fontId="8" fillId="0" borderId="0" xfId="0" applyNumberFormat="1" applyFont="1"/>
    <xf numFmtId="0" fontId="0" fillId="0" borderId="4" xfId="0" applyBorder="1"/>
    <xf numFmtId="9" fontId="0" fillId="0" borderId="4" xfId="0" applyNumberFormat="1" applyBorder="1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left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justify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7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4" fontId="8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6" sqref="D6"/>
    </sheetView>
  </sheetViews>
  <sheetFormatPr defaultRowHeight="14.4"/>
  <cols>
    <col min="1" max="1" width="24.6640625" customWidth="1"/>
    <col min="2" max="6" width="15.5546875" customWidth="1"/>
  </cols>
  <sheetData>
    <row r="1" spans="1:6">
      <c r="A1" t="s">
        <v>107</v>
      </c>
      <c r="B1">
        <v>2020</v>
      </c>
      <c r="C1">
        <v>2021</v>
      </c>
      <c r="D1">
        <v>2022</v>
      </c>
      <c r="E1">
        <v>2023</v>
      </c>
      <c r="F1">
        <v>2024</v>
      </c>
    </row>
    <row r="2" spans="1:6">
      <c r="A2" s="7" t="s">
        <v>92</v>
      </c>
      <c r="B2" s="8">
        <f>B3+B4</f>
        <v>0</v>
      </c>
      <c r="C2" s="8">
        <f>C3+C4</f>
        <v>0</v>
      </c>
      <c r="D2" s="8">
        <f>D3+D4</f>
        <v>0</v>
      </c>
      <c r="E2" s="8">
        <f>E3+E4</f>
        <v>0</v>
      </c>
      <c r="F2" s="8">
        <f>F3+F4</f>
        <v>0</v>
      </c>
    </row>
    <row r="3" spans="1:6" ht="27">
      <c r="A3" s="7" t="s">
        <v>94</v>
      </c>
      <c r="B3" s="8"/>
      <c r="C3" s="10"/>
      <c r="D3" s="8">
        <f>$D$7*20%</f>
        <v>0</v>
      </c>
      <c r="E3" s="8">
        <f>$D$7*20%</f>
        <v>0</v>
      </c>
      <c r="F3" s="8">
        <f>$D$7*20%</f>
        <v>0</v>
      </c>
    </row>
    <row r="4" spans="1:6">
      <c r="A4" s="7" t="s">
        <v>91</v>
      </c>
      <c r="B4" s="8"/>
      <c r="C4" s="8"/>
      <c r="D4" s="8">
        <f>$D$8*5%</f>
        <v>0</v>
      </c>
      <c r="E4" s="8">
        <f>$D$8*5%</f>
        <v>0</v>
      </c>
      <c r="F4" s="8">
        <f>$D$8*5%</f>
        <v>0</v>
      </c>
    </row>
    <row r="5" spans="1:6">
      <c r="A5" s="7" t="s">
        <v>86</v>
      </c>
      <c r="B5" s="8"/>
      <c r="C5" s="8">
        <f>C2*0.6</f>
        <v>0</v>
      </c>
      <c r="D5" s="8">
        <f>D2*$B$11</f>
        <v>0</v>
      </c>
      <c r="E5" s="8">
        <f t="shared" ref="E5:F5" si="0">E2*$B$11</f>
        <v>0</v>
      </c>
      <c r="F5" s="8">
        <f t="shared" si="0"/>
        <v>0</v>
      </c>
    </row>
    <row r="6" spans="1:6" ht="27">
      <c r="A6" s="7" t="s">
        <v>88</v>
      </c>
      <c r="B6" s="8"/>
      <c r="C6" s="8"/>
      <c r="D6" s="8">
        <f>$D$10*20%</f>
        <v>59286</v>
      </c>
      <c r="E6" s="8">
        <f t="shared" ref="E6:F6" si="1">$D$10*20%</f>
        <v>59286</v>
      </c>
      <c r="F6" s="8">
        <f t="shared" si="1"/>
        <v>59286</v>
      </c>
    </row>
    <row r="7" spans="1:6" ht="40.200000000000003">
      <c r="A7" s="7" t="s">
        <v>96</v>
      </c>
      <c r="B7" s="8"/>
      <c r="C7" s="9"/>
      <c r="D7" s="12">
        <v>0</v>
      </c>
      <c r="E7" s="9"/>
      <c r="F7" s="9"/>
    </row>
    <row r="8" spans="1:6" ht="53.4">
      <c r="A8" s="7" t="s">
        <v>93</v>
      </c>
      <c r="B8" s="8"/>
      <c r="C8" s="9"/>
      <c r="D8" s="12">
        <v>0</v>
      </c>
      <c r="E8" s="9"/>
      <c r="F8" s="9"/>
    </row>
    <row r="9" spans="1:6" ht="40.200000000000003">
      <c r="A9" s="7" t="s">
        <v>95</v>
      </c>
      <c r="B9" s="8"/>
      <c r="C9" s="8"/>
      <c r="D9" s="11">
        <v>120500</v>
      </c>
      <c r="E9" s="8"/>
      <c r="F9" s="8"/>
    </row>
    <row r="10" spans="1:6" ht="53.4">
      <c r="A10" s="7" t="s">
        <v>106</v>
      </c>
      <c r="B10" s="8"/>
      <c r="C10" s="8"/>
      <c r="D10" s="11">
        <f>241000*1.23</f>
        <v>296430</v>
      </c>
      <c r="E10" s="8"/>
      <c r="F10" s="8"/>
    </row>
    <row r="11" spans="1:6">
      <c r="A11" s="20" t="s">
        <v>108</v>
      </c>
      <c r="B11" s="21">
        <v>0.5</v>
      </c>
      <c r="C11" s="20"/>
      <c r="D11" s="20"/>
      <c r="E11" s="20"/>
      <c r="F11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8" sqref="C8"/>
    </sheetView>
  </sheetViews>
  <sheetFormatPr defaultRowHeight="14.4"/>
  <cols>
    <col min="1" max="1" width="5.33203125" customWidth="1"/>
    <col min="2" max="2" width="28.109375" customWidth="1"/>
    <col min="3" max="3" width="24.5546875" customWidth="1"/>
    <col min="4" max="4" width="13.88671875" customWidth="1"/>
  </cols>
  <sheetData>
    <row r="1" spans="1:3" ht="81" customHeight="1" thickBot="1">
      <c r="A1" s="52" t="s">
        <v>97</v>
      </c>
      <c r="B1" s="53"/>
      <c r="C1" s="54"/>
    </row>
    <row r="2" spans="1:3" ht="28.2" thickBot="1">
      <c r="A2" s="13" t="s">
        <v>89</v>
      </c>
      <c r="B2" s="14" t="s">
        <v>98</v>
      </c>
      <c r="C2" s="14" t="s">
        <v>99</v>
      </c>
    </row>
    <row r="3" spans="1:3" ht="15" thickBot="1">
      <c r="A3" s="15" t="s">
        <v>62</v>
      </c>
      <c r="B3" s="16" t="s">
        <v>100</v>
      </c>
      <c r="C3" s="41">
        <v>0</v>
      </c>
    </row>
    <row r="4" spans="1:3" ht="15" thickBot="1">
      <c r="A4" s="15" t="s">
        <v>65</v>
      </c>
      <c r="B4" s="16" t="s">
        <v>101</v>
      </c>
      <c r="C4" s="22">
        <v>1200000</v>
      </c>
    </row>
    <row r="5" spans="1:3" ht="15" thickBot="1">
      <c r="A5" s="15" t="s">
        <v>69</v>
      </c>
      <c r="B5" s="16" t="s">
        <v>102</v>
      </c>
      <c r="C5" s="23">
        <v>0</v>
      </c>
    </row>
    <row r="6" spans="1:3" ht="15" thickBot="1">
      <c r="A6" s="15" t="s">
        <v>73</v>
      </c>
      <c r="B6" s="16" t="s">
        <v>103</v>
      </c>
      <c r="C6" s="23">
        <v>0</v>
      </c>
    </row>
    <row r="7" spans="1:3" ht="15" thickBot="1">
      <c r="A7" s="15" t="s">
        <v>76</v>
      </c>
      <c r="B7" s="16" t="s">
        <v>104</v>
      </c>
      <c r="C7" s="22">
        <v>250000</v>
      </c>
    </row>
    <row r="8" spans="1:3" ht="15" thickBot="1">
      <c r="A8" s="15"/>
      <c r="B8" s="16" t="s">
        <v>105</v>
      </c>
      <c r="C8" s="17">
        <f>SUM(C3:C7)</f>
        <v>1450000</v>
      </c>
    </row>
    <row r="9" spans="1:3">
      <c r="C9" s="1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115" zoomScaleNormal="115" zoomScaleSheetLayoutView="115" workbookViewId="0">
      <selection activeCell="B33" sqref="B33"/>
    </sheetView>
  </sheetViews>
  <sheetFormatPr defaultColWidth="9.109375" defaultRowHeight="13.2"/>
  <cols>
    <col min="1" max="1" width="25" style="1" customWidth="1"/>
    <col min="2" max="2" width="16.33203125" style="1" customWidth="1"/>
    <col min="3" max="3" width="13.6640625" style="1" bestFit="1" customWidth="1"/>
    <col min="4" max="4" width="14.33203125" style="1" bestFit="1" customWidth="1"/>
    <col min="5" max="5" width="15" style="1" customWidth="1"/>
    <col min="6" max="6" width="14.44140625" style="1" customWidth="1"/>
    <col min="7" max="7" width="6.6640625" style="1" bestFit="1" customWidth="1"/>
    <col min="8" max="9" width="9.109375" style="1"/>
    <col min="10" max="10" width="18" style="1" customWidth="1"/>
    <col min="11" max="16384" width="9.109375" style="1"/>
  </cols>
  <sheetData>
    <row r="1" spans="1:9" ht="45.75" customHeight="1">
      <c r="A1" s="57" t="s">
        <v>109</v>
      </c>
      <c r="B1" s="58"/>
      <c r="C1" s="58"/>
      <c r="D1" s="58"/>
      <c r="E1" s="58"/>
      <c r="F1" s="59"/>
    </row>
    <row r="2" spans="1:9">
      <c r="A2" s="55" t="s">
        <v>0</v>
      </c>
      <c r="B2" s="51">
        <v>2020</v>
      </c>
      <c r="C2" s="51">
        <v>2021</v>
      </c>
      <c r="D2" s="51">
        <v>2022</v>
      </c>
      <c r="E2" s="51">
        <v>2023</v>
      </c>
      <c r="F2" s="51">
        <v>2024</v>
      </c>
    </row>
    <row r="3" spans="1:9">
      <c r="A3" s="56"/>
      <c r="B3" s="51" t="s">
        <v>1</v>
      </c>
      <c r="C3" s="51" t="s">
        <v>2</v>
      </c>
      <c r="D3" s="51" t="s">
        <v>3</v>
      </c>
      <c r="E3" s="51" t="s">
        <v>4</v>
      </c>
      <c r="F3" s="51" t="s">
        <v>33</v>
      </c>
      <c r="I3" s="1">
        <v>52</v>
      </c>
    </row>
    <row r="4" spans="1:9">
      <c r="A4" s="46" t="s">
        <v>5</v>
      </c>
      <c r="B4" s="47">
        <f>SUM(B5:B9)</f>
        <v>1450000</v>
      </c>
      <c r="C4" s="47">
        <f t="shared" ref="C4:F4" si="0">SUM(C5:C9)</f>
        <v>1377500</v>
      </c>
      <c r="D4" s="47">
        <f t="shared" si="0"/>
        <v>1601430</v>
      </c>
      <c r="E4" s="47">
        <f t="shared" si="0"/>
        <v>1469644</v>
      </c>
      <c r="F4" s="47">
        <f t="shared" si="0"/>
        <v>1349715.2</v>
      </c>
      <c r="I4" s="19">
        <v>0.45</v>
      </c>
    </row>
    <row r="5" spans="1:9">
      <c r="A5" s="24" t="s">
        <v>6</v>
      </c>
      <c r="B5" s="25">
        <f>'Stan wartościowy rzeczowego '!C3</f>
        <v>0</v>
      </c>
      <c r="C5" s="25">
        <f>(B5-($B$5*5%))</f>
        <v>0</v>
      </c>
      <c r="D5" s="25">
        <f t="shared" ref="D5:F5" si="1">(C5-($B$5*5%))</f>
        <v>0</v>
      </c>
      <c r="E5" s="25">
        <f t="shared" si="1"/>
        <v>0</v>
      </c>
      <c r="F5" s="25">
        <f t="shared" si="1"/>
        <v>0</v>
      </c>
      <c r="I5" s="1">
        <f>I3*I4</f>
        <v>23.400000000000002</v>
      </c>
    </row>
    <row r="6" spans="1:9">
      <c r="A6" s="24" t="s">
        <v>7</v>
      </c>
      <c r="B6" s="25">
        <f>'Stan wartościowy rzeczowego '!C4</f>
        <v>1200000</v>
      </c>
      <c r="C6" s="25">
        <f>(B6-($B$6*5%))</f>
        <v>1140000</v>
      </c>
      <c r="D6" s="25">
        <f>(C6-($B$6*5%))+'Dane to duzupełniena'!D8</f>
        <v>1080000</v>
      </c>
      <c r="E6" s="25">
        <f>(D6-($B$6*5%))+'Dane to duzupełniena'!E8</f>
        <v>1020000</v>
      </c>
      <c r="F6" s="25">
        <f>(E6-($B$6*5%))+'Dane to duzupełniena'!F8</f>
        <v>960000</v>
      </c>
      <c r="I6" s="1">
        <f>I3-I5</f>
        <v>28.599999999999998</v>
      </c>
    </row>
    <row r="7" spans="1:9">
      <c r="A7" s="24" t="s">
        <v>8</v>
      </c>
      <c r="B7" s="25">
        <f>'Stan wartościowy rzeczowego '!C5</f>
        <v>0</v>
      </c>
      <c r="C7" s="25">
        <f>(B7-($B$7*5%))</f>
        <v>0</v>
      </c>
      <c r="D7" s="25">
        <f>(C7-($B$7*5%))+'Dane to duzupełniena'!D7</f>
        <v>0</v>
      </c>
      <c r="E7" s="25">
        <f>(D7-($B$7*5%))+'Dane to duzupełniena'!E7</f>
        <v>0</v>
      </c>
      <c r="F7" s="25">
        <f>(E7-($B$7*5%))+'Dane to duzupełniena'!F7</f>
        <v>0</v>
      </c>
    </row>
    <row r="8" spans="1:9">
      <c r="A8" s="24" t="s">
        <v>9</v>
      </c>
      <c r="B8" s="25">
        <f>'Stan wartościowy rzeczowego '!C6</f>
        <v>0</v>
      </c>
      <c r="C8" s="25">
        <f>(B8-($B$8*5%))</f>
        <v>0</v>
      </c>
      <c r="D8" s="25">
        <f>(C8-(C8*20%))+'Dane to duzupełniena'!D10</f>
        <v>296430</v>
      </c>
      <c r="E8" s="25">
        <f>(D8-(D8*20%))+'Dane to duzupełniena'!E10</f>
        <v>237144</v>
      </c>
      <c r="F8" s="25">
        <f>(E8-(E8*20%))+'Dane to duzupełniena'!F10</f>
        <v>189715.20000000001</v>
      </c>
      <c r="H8" s="64"/>
      <c r="I8" s="64"/>
    </row>
    <row r="9" spans="1:9">
      <c r="A9" s="24" t="s">
        <v>10</v>
      </c>
      <c r="B9" s="25">
        <f>'Stan wartościowy rzeczowego '!C7</f>
        <v>250000</v>
      </c>
      <c r="C9" s="25">
        <f>(B9-($B$9*5%))</f>
        <v>237500</v>
      </c>
      <c r="D9" s="25">
        <f t="shared" ref="D9:F9" si="2">(C9-($B$9*5%))</f>
        <v>225000</v>
      </c>
      <c r="E9" s="25">
        <f t="shared" si="2"/>
        <v>212500</v>
      </c>
      <c r="F9" s="25">
        <f t="shared" si="2"/>
        <v>200000</v>
      </c>
    </row>
    <row r="10" spans="1:9">
      <c r="A10" s="46" t="s">
        <v>11</v>
      </c>
      <c r="B10" s="47">
        <f>B11+B16+B17+B20</f>
        <v>3179203.49</v>
      </c>
      <c r="C10" s="47">
        <f>C11+C16+C17+C20</f>
        <v>3226891.5423499998</v>
      </c>
      <c r="D10" s="47">
        <f t="shared" ref="D10:F10" si="3">D11+D16+D17+D20</f>
        <v>3275294.9154852498</v>
      </c>
      <c r="E10" s="47">
        <f t="shared" si="3"/>
        <v>3324424.3392175278</v>
      </c>
      <c r="F10" s="47">
        <f t="shared" si="3"/>
        <v>3374290.7043057908</v>
      </c>
    </row>
    <row r="11" spans="1:9">
      <c r="A11" s="24" t="s">
        <v>12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1">
        <v>5.1999999999999998E-2</v>
      </c>
    </row>
    <row r="12" spans="1:9">
      <c r="A12" s="26" t="s">
        <v>13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</row>
    <row r="13" spans="1:9">
      <c r="A13" s="26" t="s">
        <v>14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</row>
    <row r="14" spans="1:9">
      <c r="A14" s="26" t="s">
        <v>15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</row>
    <row r="15" spans="1:9">
      <c r="A15" s="26" t="s">
        <v>16</v>
      </c>
      <c r="B15" s="25">
        <v>0</v>
      </c>
      <c r="C15" s="25">
        <v>0</v>
      </c>
      <c r="D15" s="25">
        <v>0</v>
      </c>
      <c r="E15" s="25">
        <v>0</v>
      </c>
      <c r="F15" s="25">
        <f t="shared" ref="D15:F15" si="4">E15*$G$15</f>
        <v>0</v>
      </c>
      <c r="G15" s="1">
        <v>1.0149999999999999</v>
      </c>
    </row>
    <row r="16" spans="1:9">
      <c r="A16" s="26" t="s">
        <v>17</v>
      </c>
      <c r="B16" s="25">
        <v>2876351.56</v>
      </c>
      <c r="C16" s="25">
        <f>$G$16*B16</f>
        <v>2919496.8333999999</v>
      </c>
      <c r="D16" s="25">
        <f t="shared" ref="D16:F16" si="5">$G$16*C16</f>
        <v>2963289.2859009998</v>
      </c>
      <c r="E16" s="25">
        <f t="shared" si="5"/>
        <v>3007738.6251895144</v>
      </c>
      <c r="F16" s="25">
        <f t="shared" si="5"/>
        <v>3052854.704567357</v>
      </c>
      <c r="G16" s="1">
        <v>1.0149999999999999</v>
      </c>
    </row>
    <row r="17" spans="1:10">
      <c r="A17" s="24" t="s">
        <v>18</v>
      </c>
      <c r="B17" s="25">
        <v>302851.93</v>
      </c>
      <c r="C17" s="25">
        <f>B17*$G$16</f>
        <v>307394.70894999994</v>
      </c>
      <c r="D17" s="25">
        <f t="shared" ref="D17:F17" si="6">C17*$G$16</f>
        <v>312005.62958424992</v>
      </c>
      <c r="E17" s="25">
        <f t="shared" si="6"/>
        <v>316685.71402801364</v>
      </c>
      <c r="F17" s="25">
        <f>E17*$G$16</f>
        <v>321435.99973843381</v>
      </c>
    </row>
    <row r="18" spans="1:10">
      <c r="A18" s="24" t="s">
        <v>19</v>
      </c>
      <c r="B18" s="25">
        <v>1146.94</v>
      </c>
      <c r="C18" s="25">
        <f>B18*$G$16</f>
        <v>1164.1441</v>
      </c>
      <c r="D18" s="25">
        <f t="shared" ref="D18:F18" si="7">C18*$G$16</f>
        <v>1181.6062614999998</v>
      </c>
      <c r="E18" s="25">
        <f t="shared" si="7"/>
        <v>1199.3303554224997</v>
      </c>
      <c r="F18" s="25">
        <f t="shared" si="7"/>
        <v>1217.320310753837</v>
      </c>
    </row>
    <row r="19" spans="1:10">
      <c r="A19" s="24" t="s">
        <v>20</v>
      </c>
      <c r="B19" s="25">
        <f>B17-B18</f>
        <v>301704.99</v>
      </c>
      <c r="C19" s="25">
        <f t="shared" ref="C19:F19" si="8">C17-C18</f>
        <v>306230.56484999997</v>
      </c>
      <c r="D19" s="25">
        <f t="shared" si="8"/>
        <v>310824.02332274994</v>
      </c>
      <c r="E19" s="25">
        <f t="shared" si="8"/>
        <v>315486.38367259112</v>
      </c>
      <c r="F19" s="25">
        <f t="shared" si="8"/>
        <v>320218.67942767998</v>
      </c>
    </row>
    <row r="20" spans="1:10" ht="26.4">
      <c r="A20" s="24" t="s">
        <v>21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</row>
    <row r="21" spans="1:10">
      <c r="A21" s="27" t="s">
        <v>22</v>
      </c>
      <c r="B21" s="25">
        <f t="shared" ref="B21:F21" si="9">B4+B10</f>
        <v>4629203.49</v>
      </c>
      <c r="C21" s="25">
        <f t="shared" si="9"/>
        <v>4604391.5423499998</v>
      </c>
      <c r="D21" s="25">
        <f>D4+D10</f>
        <v>4876724.9154852498</v>
      </c>
      <c r="E21" s="25">
        <f t="shared" si="9"/>
        <v>4794068.3392175278</v>
      </c>
      <c r="F21" s="25">
        <f t="shared" si="9"/>
        <v>4724005.9043057906</v>
      </c>
      <c r="J21" s="2"/>
    </row>
    <row r="22" spans="1:10">
      <c r="A22" s="48" t="s">
        <v>90</v>
      </c>
      <c r="B22" s="49">
        <f t="shared" ref="B22:F22" si="10">B23+B25+B26</f>
        <v>992796.01000000024</v>
      </c>
      <c r="C22" s="49">
        <f t="shared" si="10"/>
        <v>1158393.3019499998</v>
      </c>
      <c r="D22" s="49">
        <f t="shared" si="10"/>
        <v>1369797.7109124502</v>
      </c>
      <c r="E22" s="49">
        <f t="shared" si="10"/>
        <v>1457440.6876449594</v>
      </c>
      <c r="F22" s="49">
        <f t="shared" si="10"/>
        <v>1548441.9005239587</v>
      </c>
    </row>
    <row r="23" spans="1:10">
      <c r="A23" s="26" t="s">
        <v>23</v>
      </c>
      <c r="B23" s="25">
        <f>B21-B26-B27-B31</f>
        <v>992796.01000000024</v>
      </c>
      <c r="C23" s="25">
        <f>C21-C26-C27-C31</f>
        <v>1158393.3019499998</v>
      </c>
      <c r="D23" s="25">
        <f t="shared" ref="D23:F23" si="11">D21-D26-D27-D31</f>
        <v>1369797.7109124502</v>
      </c>
      <c r="E23" s="25">
        <f t="shared" si="11"/>
        <v>1457440.6876449594</v>
      </c>
      <c r="F23" s="25">
        <f t="shared" si="11"/>
        <v>1548441.9005239587</v>
      </c>
    </row>
    <row r="24" spans="1:10">
      <c r="A24" s="26" t="s">
        <v>24</v>
      </c>
      <c r="B24" s="25">
        <f>'Rachunek zysków i strat'!B21</f>
        <v>6834.0400000000373</v>
      </c>
      <c r="C24" s="25">
        <f>B24*1.33</f>
        <v>9089.2732000000506</v>
      </c>
      <c r="D24" s="25">
        <f t="shared" ref="D24:F24" si="12">C24*1.33</f>
        <v>12088.733356000068</v>
      </c>
      <c r="E24" s="25">
        <f t="shared" si="12"/>
        <v>16078.015363480092</v>
      </c>
      <c r="F24" s="25">
        <f t="shared" si="12"/>
        <v>21383.760433428524</v>
      </c>
    </row>
    <row r="25" spans="1:10">
      <c r="A25" s="26" t="s">
        <v>25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</row>
    <row r="26" spans="1:10" ht="26.4">
      <c r="A26" s="29" t="s">
        <v>26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</row>
    <row r="27" spans="1:10" ht="26.4">
      <c r="A27" s="50" t="s">
        <v>27</v>
      </c>
      <c r="B27" s="49">
        <f t="shared" ref="B27:C27" si="13">SUM(B28:B31)</f>
        <v>3636407.48</v>
      </c>
      <c r="C27" s="49">
        <f t="shared" si="13"/>
        <v>3445998.2404</v>
      </c>
      <c r="D27" s="49">
        <f>SUM(D28:D31)</f>
        <v>3386427.2045727996</v>
      </c>
      <c r="E27" s="49">
        <f t="shared" ref="E27:F27" si="14">SUM(E28:E31)</f>
        <v>3216127.6515725683</v>
      </c>
      <c r="F27" s="49">
        <f t="shared" si="14"/>
        <v>3055064.0037818318</v>
      </c>
    </row>
    <row r="28" spans="1:10" ht="26.4">
      <c r="A28" s="29" t="s">
        <v>28</v>
      </c>
      <c r="B28" s="25">
        <v>0</v>
      </c>
      <c r="C28" s="25">
        <v>0</v>
      </c>
      <c r="D28" s="25">
        <f t="shared" ref="D28:F28" si="15">C28*1.01</f>
        <v>0</v>
      </c>
      <c r="E28" s="25">
        <f t="shared" si="15"/>
        <v>0</v>
      </c>
      <c r="F28" s="25">
        <f t="shared" si="15"/>
        <v>0</v>
      </c>
    </row>
    <row r="29" spans="1:10" ht="26.4">
      <c r="A29" s="26" t="s">
        <v>29</v>
      </c>
      <c r="B29" s="25">
        <v>3402427.68</v>
      </c>
      <c r="C29" s="25">
        <f>$G$29*B29</f>
        <v>3215294.1576</v>
      </c>
      <c r="D29" s="25">
        <f t="shared" ref="D29:F29" si="16">$G$29*C29</f>
        <v>3038452.9789319998</v>
      </c>
      <c r="E29" s="25">
        <f t="shared" si="16"/>
        <v>2871338.0650907396</v>
      </c>
      <c r="F29" s="25">
        <f t="shared" si="16"/>
        <v>2713414.4715107488</v>
      </c>
      <c r="G29" s="1">
        <v>0.94499999999999995</v>
      </c>
    </row>
    <row r="30" spans="1:10">
      <c r="A30" s="26" t="s">
        <v>30</v>
      </c>
      <c r="B30" s="25">
        <f>171690.47+50381.88+9286.45+2621</f>
        <v>233979.80000000002</v>
      </c>
      <c r="C30" s="25">
        <f>B30*0.986</f>
        <v>230704.0828</v>
      </c>
      <c r="D30" s="25">
        <f t="shared" ref="D30:F30" si="17">C30*0.986</f>
        <v>227474.2256408</v>
      </c>
      <c r="E30" s="25">
        <f t="shared" si="17"/>
        <v>224289.5864818288</v>
      </c>
      <c r="F30" s="25">
        <f t="shared" si="17"/>
        <v>221149.53227108318</v>
      </c>
    </row>
    <row r="31" spans="1:10" ht="26.4">
      <c r="A31" s="24" t="s">
        <v>31</v>
      </c>
      <c r="B31" s="25">
        <v>0</v>
      </c>
      <c r="C31" s="25">
        <v>0</v>
      </c>
      <c r="D31" s="25">
        <f>'Dane to duzupełniena'!D9</f>
        <v>120500</v>
      </c>
      <c r="E31" s="25">
        <f>D31-'Dane to duzupełniena'!E5</f>
        <v>120500</v>
      </c>
      <c r="F31" s="25">
        <f>E31-'Dane to duzupełniena'!F5</f>
        <v>120500</v>
      </c>
    </row>
    <row r="32" spans="1:10">
      <c r="A32" s="27" t="s">
        <v>32</v>
      </c>
      <c r="B32" s="28">
        <f>B22+B27</f>
        <v>4629203.49</v>
      </c>
      <c r="C32" s="28">
        <f>C22+C27</f>
        <v>4604391.5423499998</v>
      </c>
      <c r="D32" s="28">
        <f>D22+D27</f>
        <v>4756224.9154852498</v>
      </c>
      <c r="E32" s="28">
        <f t="shared" ref="E32:F32" si="18">E22+E27</f>
        <v>4673568.3392175278</v>
      </c>
      <c r="F32" s="28">
        <f t="shared" si="18"/>
        <v>4603505.9043057906</v>
      </c>
    </row>
    <row r="33" spans="1:7">
      <c r="A33" s="1" t="s">
        <v>87</v>
      </c>
      <c r="B33" s="1" t="b">
        <f t="shared" ref="B33:C33" si="19">B21=B32+B31</f>
        <v>1</v>
      </c>
      <c r="C33" s="1" t="b">
        <f t="shared" si="19"/>
        <v>1</v>
      </c>
      <c r="D33" s="1" t="b">
        <f>D21=D32+D31</f>
        <v>1</v>
      </c>
      <c r="E33" s="1" t="b">
        <f t="shared" ref="E33:F33" si="20">E21=E32+E31</f>
        <v>1</v>
      </c>
      <c r="F33" s="1" t="b">
        <f t="shared" si="20"/>
        <v>1</v>
      </c>
    </row>
    <row r="34" spans="1:7">
      <c r="B34" s="3"/>
      <c r="C34" s="4"/>
      <c r="D34" s="4"/>
      <c r="E34" s="4"/>
      <c r="F34" s="4"/>
      <c r="G34" s="4"/>
    </row>
    <row r="35" spans="1:7">
      <c r="B35" s="3"/>
      <c r="C35" s="4"/>
      <c r="D35" s="4"/>
      <c r="E35" s="4"/>
      <c r="F35" s="4"/>
      <c r="G35" s="4"/>
    </row>
    <row r="36" spans="1:7">
      <c r="B36" s="4"/>
      <c r="C36" s="4"/>
      <c r="D36" s="4"/>
      <c r="E36" s="4"/>
      <c r="F36" s="4"/>
      <c r="G36" s="4"/>
    </row>
    <row r="37" spans="1:7">
      <c r="B37" s="4"/>
      <c r="C37" s="4"/>
      <c r="D37" s="4"/>
      <c r="E37" s="4"/>
      <c r="F37" s="4"/>
      <c r="G37" s="4"/>
    </row>
    <row r="38" spans="1:7">
      <c r="B38" s="4"/>
      <c r="C38" s="4"/>
      <c r="D38" s="4"/>
      <c r="E38" s="4"/>
      <c r="F38" s="4"/>
      <c r="G38" s="4"/>
    </row>
    <row r="39" spans="1:7">
      <c r="B39" s="4"/>
      <c r="C39" s="4"/>
      <c r="D39" s="4"/>
      <c r="E39" s="4"/>
      <c r="F39" s="4"/>
      <c r="G39" s="4"/>
    </row>
    <row r="40" spans="1:7">
      <c r="B40" s="4"/>
      <c r="C40" s="4"/>
      <c r="D40" s="4"/>
      <c r="E40" s="4"/>
      <c r="F40" s="4"/>
      <c r="G40" s="4"/>
    </row>
  </sheetData>
  <mergeCells count="2">
    <mergeCell ref="A2:A3"/>
    <mergeCell ref="A1:F1"/>
  </mergeCells>
  <pageMargins left="0.7" right="0.7" top="0.75" bottom="0.75" header="0.3" footer="0.3"/>
  <pageSetup paperSize="9" scale="88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4" zoomScale="130" zoomScaleNormal="100" zoomScaleSheetLayoutView="130" workbookViewId="0">
      <selection activeCell="C12" sqref="C12"/>
    </sheetView>
  </sheetViews>
  <sheetFormatPr defaultRowHeight="14.4"/>
  <cols>
    <col min="1" max="1" width="19.5546875" customWidth="1"/>
    <col min="2" max="6" width="14.109375" customWidth="1"/>
  </cols>
  <sheetData>
    <row r="1" spans="1:8" ht="44.25" customHeight="1">
      <c r="A1" s="61" t="s">
        <v>34</v>
      </c>
      <c r="B1" s="61"/>
      <c r="C1" s="61"/>
      <c r="D1" s="61"/>
      <c r="E1" s="61"/>
      <c r="F1" s="61"/>
    </row>
    <row r="2" spans="1:8">
      <c r="A2" s="60" t="s">
        <v>35</v>
      </c>
      <c r="B2" s="51">
        <v>2020</v>
      </c>
      <c r="C2" s="51">
        <v>2021</v>
      </c>
      <c r="D2" s="51">
        <v>2022</v>
      </c>
      <c r="E2" s="51">
        <v>2023</v>
      </c>
      <c r="F2" s="51">
        <v>2024</v>
      </c>
    </row>
    <row r="3" spans="1:8">
      <c r="A3" s="60"/>
      <c r="B3" s="42" t="s">
        <v>36</v>
      </c>
      <c r="C3" s="42" t="s">
        <v>37</v>
      </c>
      <c r="D3" s="42" t="s">
        <v>38</v>
      </c>
      <c r="E3" s="31" t="s">
        <v>4</v>
      </c>
      <c r="F3" s="31" t="s">
        <v>33</v>
      </c>
    </row>
    <row r="4" spans="1:8" ht="34.200000000000003">
      <c r="A4" s="43" t="s">
        <v>39</v>
      </c>
      <c r="B4" s="30">
        <f>B5+B6+B7+B8</f>
        <v>15998231.26</v>
      </c>
      <c r="C4" s="30">
        <f>C5+C6+C7+C8</f>
        <v>16798142.822999999</v>
      </c>
      <c r="D4" s="30">
        <f t="shared" ref="D4:F4" si="0">D5+D6+D7+D8</f>
        <v>19317864.246449996</v>
      </c>
      <c r="E4" s="30">
        <f t="shared" si="0"/>
        <v>20283757.458772495</v>
      </c>
      <c r="F4" s="30">
        <f t="shared" si="0"/>
        <v>21297945.331711121</v>
      </c>
    </row>
    <row r="5" spans="1:8" ht="26.4">
      <c r="A5" s="44" t="s">
        <v>40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</row>
    <row r="6" spans="1:8" ht="26.4">
      <c r="A6" s="44" t="s">
        <v>41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</row>
    <row r="7" spans="1:8" ht="39.6">
      <c r="A7" s="44" t="s">
        <v>42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</row>
    <row r="8" spans="1:8" ht="39.6">
      <c r="A8" s="44" t="s">
        <v>43</v>
      </c>
      <c r="B8" s="30">
        <v>15998231.26</v>
      </c>
      <c r="C8" s="30">
        <f>B8*1.05</f>
        <v>16798142.822999999</v>
      </c>
      <c r="D8" s="30">
        <f>C8*1.15</f>
        <v>19317864.246449996</v>
      </c>
      <c r="E8" s="30">
        <f t="shared" ref="E8:F8" si="1">D8*1.05</f>
        <v>20283757.458772495</v>
      </c>
      <c r="F8" s="30">
        <f t="shared" si="1"/>
        <v>21297945.331711121</v>
      </c>
    </row>
    <row r="9" spans="1:8" ht="22.8">
      <c r="A9" s="45" t="s">
        <v>44</v>
      </c>
      <c r="B9" s="30">
        <f>SUM(B10:B17)</f>
        <v>15488812.76</v>
      </c>
      <c r="C9" s="30">
        <f t="shared" ref="C9:F9" si="2">SUM(C10:C17)</f>
        <v>15926295.260680001</v>
      </c>
      <c r="D9" s="30">
        <f t="shared" si="2"/>
        <v>16274866.91747936</v>
      </c>
      <c r="E9" s="30">
        <f t="shared" si="2"/>
        <v>16602732.081058368</v>
      </c>
      <c r="F9" s="30">
        <f t="shared" si="2"/>
        <v>16937357.099987034</v>
      </c>
      <c r="G9" s="5"/>
      <c r="H9" s="6"/>
    </row>
    <row r="10" spans="1:8">
      <c r="A10" s="44" t="s">
        <v>45</v>
      </c>
      <c r="B10" s="30">
        <v>0</v>
      </c>
      <c r="C10" s="30">
        <f>B10+'Dane to duzupełniena'!D6</f>
        <v>59286</v>
      </c>
      <c r="D10" s="30">
        <f>C10</f>
        <v>59286</v>
      </c>
      <c r="E10" s="30">
        <f t="shared" ref="E10:F10" si="3">D10</f>
        <v>59286</v>
      </c>
      <c r="F10" s="30">
        <f t="shared" si="3"/>
        <v>59286</v>
      </c>
    </row>
    <row r="11" spans="1:8" ht="26.4">
      <c r="A11" s="44" t="s">
        <v>46</v>
      </c>
      <c r="B11" s="30">
        <v>85962.72</v>
      </c>
      <c r="C11" s="30">
        <f>$G$11*B11</f>
        <v>90862.59504</v>
      </c>
      <c r="D11" s="30">
        <f t="shared" ref="D11:F11" si="4">$G$11*C11</f>
        <v>96041.762957279992</v>
      </c>
      <c r="E11" s="30">
        <f t="shared" si="4"/>
        <v>101516.14344584495</v>
      </c>
      <c r="F11" s="30">
        <f t="shared" si="4"/>
        <v>107302.56362225811</v>
      </c>
      <c r="G11">
        <v>1.0569999999999999</v>
      </c>
    </row>
    <row r="12" spans="1:8">
      <c r="A12" s="44" t="s">
        <v>47</v>
      </c>
      <c r="B12" s="30">
        <v>2471649.4700000002</v>
      </c>
      <c r="C12" s="30">
        <f>B12*$G$12</f>
        <v>2521082.4594000001</v>
      </c>
      <c r="D12" s="30">
        <f t="shared" ref="D12:F12" si="5">C12*$G$12</f>
        <v>2571504.1085880003</v>
      </c>
      <c r="E12" s="30">
        <f t="shared" si="5"/>
        <v>2622934.1907597603</v>
      </c>
      <c r="F12" s="30">
        <f t="shared" si="5"/>
        <v>2675392.8745749556</v>
      </c>
      <c r="G12">
        <v>1.02</v>
      </c>
    </row>
    <row r="13" spans="1:8">
      <c r="A13" s="44" t="s">
        <v>48</v>
      </c>
      <c r="B13" s="30">
        <v>50157.83</v>
      </c>
      <c r="C13" s="30">
        <f>B13*$G$13</f>
        <v>51160.986600000004</v>
      </c>
      <c r="D13" s="30">
        <f t="shared" ref="D13:F13" si="6">C13*$G$13</f>
        <v>52184.206332000002</v>
      </c>
      <c r="E13" s="30">
        <f t="shared" si="6"/>
        <v>53227.890458640002</v>
      </c>
      <c r="F13" s="30">
        <f t="shared" si="6"/>
        <v>54292.448267812804</v>
      </c>
      <c r="G13">
        <v>1.02</v>
      </c>
    </row>
    <row r="14" spans="1:8">
      <c r="A14" s="44" t="s">
        <v>49</v>
      </c>
      <c r="B14" s="30">
        <v>270170.82</v>
      </c>
      <c r="C14" s="30">
        <f>B14*G14+2500</f>
        <v>302929.95184000005</v>
      </c>
      <c r="D14" s="30">
        <f>C14*$G$14</f>
        <v>336858.10644608008</v>
      </c>
      <c r="E14" s="30">
        <f t="shared" ref="E14:F14" si="7">D14*$G$15</f>
        <v>343595.26857500168</v>
      </c>
      <c r="F14" s="30">
        <f t="shared" si="7"/>
        <v>350467.17394650175</v>
      </c>
      <c r="G14">
        <v>1.1120000000000001</v>
      </c>
    </row>
    <row r="15" spans="1:8" ht="39.6">
      <c r="A15" s="44" t="s">
        <v>50</v>
      </c>
      <c r="B15" s="30">
        <v>58153.03</v>
      </c>
      <c r="C15" s="30">
        <f>(1350*6)*12</f>
        <v>97200</v>
      </c>
      <c r="D15" s="30">
        <f>C15*$G$15</f>
        <v>99144</v>
      </c>
      <c r="E15" s="30">
        <f t="shared" ref="E15:F15" si="8">D15*$G$15</f>
        <v>101126.88</v>
      </c>
      <c r="F15" s="30">
        <f t="shared" si="8"/>
        <v>103149.4176</v>
      </c>
      <c r="G15">
        <v>1.02</v>
      </c>
    </row>
    <row r="16" spans="1:8">
      <c r="A16" s="44" t="s">
        <v>51</v>
      </c>
      <c r="B16" s="30">
        <v>94487.89</v>
      </c>
      <c r="C16" s="30">
        <f>B16*$G$16</f>
        <v>96377.647800000006</v>
      </c>
      <c r="D16" s="30">
        <f t="shared" ref="D16:F16" si="9">C16*$G$16</f>
        <v>98305.200756000006</v>
      </c>
      <c r="E16" s="30">
        <f t="shared" si="9"/>
        <v>100271.30477112001</v>
      </c>
      <c r="F16" s="30">
        <f t="shared" si="9"/>
        <v>102276.73086654241</v>
      </c>
      <c r="G16">
        <v>1.02</v>
      </c>
    </row>
    <row r="17" spans="1:7" ht="39.6">
      <c r="A17" s="44" t="s">
        <v>52</v>
      </c>
      <c r="B17" s="30">
        <v>12458231</v>
      </c>
      <c r="C17" s="30">
        <f>B17*$G$17</f>
        <v>12707395.620000001</v>
      </c>
      <c r="D17" s="30">
        <f t="shared" ref="D17:F17" si="10">C17*$G$17</f>
        <v>12961543.532400001</v>
      </c>
      <c r="E17" s="30">
        <f t="shared" si="10"/>
        <v>13220774.403048001</v>
      </c>
      <c r="F17" s="30">
        <f t="shared" si="10"/>
        <v>13485189.891108962</v>
      </c>
      <c r="G17">
        <v>1.02</v>
      </c>
    </row>
    <row r="18" spans="1:7" ht="22.8">
      <c r="A18" s="45" t="s">
        <v>53</v>
      </c>
      <c r="B18" s="30">
        <f t="shared" ref="B18:F18" si="11">B4-B9</f>
        <v>509418.5</v>
      </c>
      <c r="C18" s="30">
        <f t="shared" si="11"/>
        <v>871847.5623199977</v>
      </c>
      <c r="D18" s="30">
        <f t="shared" si="11"/>
        <v>3042997.3289706353</v>
      </c>
      <c r="E18" s="30">
        <f t="shared" si="11"/>
        <v>3681025.3777141273</v>
      </c>
      <c r="F18" s="30">
        <f t="shared" si="11"/>
        <v>4360588.2317240871</v>
      </c>
    </row>
    <row r="19" spans="1:7" ht="26.4">
      <c r="A19" s="44" t="s">
        <v>54</v>
      </c>
      <c r="B19" s="30">
        <v>23453.62</v>
      </c>
      <c r="C19" s="30">
        <f>'Dane to duzupełniena'!D5</f>
        <v>0</v>
      </c>
      <c r="D19" s="30">
        <f>'Dane to duzupełniena'!D5+'bilans '!B39</f>
        <v>0</v>
      </c>
      <c r="E19" s="30">
        <f>'Dane to duzupełniena'!E5+'bilans '!B39</f>
        <v>0</v>
      </c>
      <c r="F19" s="30">
        <f>'Dane to duzupełniena'!F5+'bilans '!B39</f>
        <v>0</v>
      </c>
    </row>
    <row r="20" spans="1:7" ht="26.4">
      <c r="A20" s="44" t="s">
        <v>55</v>
      </c>
      <c r="B20" s="30">
        <v>526038.07999999996</v>
      </c>
      <c r="C20" s="30">
        <f>'Dane to duzupełniena'!C2*0.6</f>
        <v>0</v>
      </c>
      <c r="D20" s="30">
        <f>'Dane to duzupełniena'!D2*0.6</f>
        <v>0</v>
      </c>
      <c r="E20" s="30">
        <f>'Dane to duzupełniena'!E2*0.6</f>
        <v>0</v>
      </c>
      <c r="F20" s="30">
        <f>'Dane to duzupełniena'!F2*0.6</f>
        <v>0</v>
      </c>
    </row>
    <row r="21" spans="1:7" ht="34.200000000000003">
      <c r="A21" s="45" t="s">
        <v>56</v>
      </c>
      <c r="B21" s="30">
        <f>B18+B19-B20</f>
        <v>6834.0400000000373</v>
      </c>
      <c r="C21" s="30">
        <f t="shared" ref="C21:F21" si="12">C18+C19-C20</f>
        <v>871847.5623199977</v>
      </c>
      <c r="D21" s="30">
        <f t="shared" si="12"/>
        <v>3042997.3289706353</v>
      </c>
      <c r="E21" s="30">
        <f t="shared" si="12"/>
        <v>3681025.3777141273</v>
      </c>
      <c r="F21" s="30">
        <f t="shared" si="12"/>
        <v>4360588.2317240871</v>
      </c>
    </row>
  </sheetData>
  <mergeCells count="2">
    <mergeCell ref="A2:A3"/>
    <mergeCell ref="A1:F1"/>
  </mergeCells>
  <pageMargins left="0.7" right="0.7" top="0.75" bottom="0.75" header="0.3" footer="0.3"/>
  <pageSetup paperSize="0" scale="97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topLeftCell="A4" zoomScale="115" zoomScaleNormal="85" zoomScaleSheetLayoutView="115" workbookViewId="0">
      <selection activeCell="F5" sqref="F5"/>
    </sheetView>
  </sheetViews>
  <sheetFormatPr defaultRowHeight="14.4"/>
  <cols>
    <col min="1" max="1" width="3" customWidth="1"/>
    <col min="2" max="2" width="16.44140625" customWidth="1"/>
    <col min="3" max="3" width="16.88671875" customWidth="1"/>
    <col min="4" max="4" width="28.109375" customWidth="1"/>
    <col min="5" max="5" width="11.5546875" customWidth="1"/>
    <col min="6" max="6" width="15" customWidth="1"/>
    <col min="7" max="7" width="16.88671875" customWidth="1"/>
    <col min="8" max="9" width="16.33203125" customWidth="1"/>
  </cols>
  <sheetData>
    <row r="1" spans="1:9" ht="57" customHeight="1">
      <c r="A1" s="61" t="s">
        <v>57</v>
      </c>
      <c r="B1" s="61"/>
      <c r="C1" s="61"/>
      <c r="D1" s="61"/>
      <c r="E1" s="61"/>
      <c r="F1" s="61"/>
      <c r="G1" s="61"/>
      <c r="H1" s="61"/>
      <c r="I1" s="61"/>
    </row>
    <row r="2" spans="1:9">
      <c r="A2" s="63" t="s">
        <v>58</v>
      </c>
      <c r="B2" s="61" t="s">
        <v>59</v>
      </c>
      <c r="C2" s="61" t="s">
        <v>60</v>
      </c>
      <c r="D2" s="61" t="s">
        <v>61</v>
      </c>
      <c r="E2" s="51">
        <v>2020</v>
      </c>
      <c r="F2" s="51">
        <v>2021</v>
      </c>
      <c r="G2" s="51">
        <v>2022</v>
      </c>
      <c r="H2" s="51">
        <v>2023</v>
      </c>
      <c r="I2" s="51">
        <v>2024</v>
      </c>
    </row>
    <row r="3" spans="1:9">
      <c r="A3" s="63"/>
      <c r="B3" s="61"/>
      <c r="C3" s="61"/>
      <c r="D3" s="61"/>
      <c r="E3" s="31" t="s">
        <v>1</v>
      </c>
      <c r="F3" s="31" t="s">
        <v>2</v>
      </c>
      <c r="G3" s="31" t="s">
        <v>3</v>
      </c>
      <c r="H3" s="31" t="s">
        <v>4</v>
      </c>
      <c r="I3" s="31" t="s">
        <v>33</v>
      </c>
    </row>
    <row r="4" spans="1:9" ht="26.4">
      <c r="A4" s="32" t="s">
        <v>62</v>
      </c>
      <c r="B4" s="32" t="s">
        <v>63</v>
      </c>
      <c r="C4" s="33" t="s">
        <v>64</v>
      </c>
      <c r="D4" s="34"/>
      <c r="E4" s="35">
        <f>'Rachunek zysków i strat'!B21</f>
        <v>6834.0400000000373</v>
      </c>
      <c r="F4" s="35">
        <f>'Rachunek zysków i strat'!C21</f>
        <v>871847.5623199977</v>
      </c>
      <c r="G4" s="35">
        <f>'Rachunek zysków i strat'!D21</f>
        <v>3042997.3289706353</v>
      </c>
      <c r="H4" s="35">
        <f>'Rachunek zysków i strat'!E21</f>
        <v>3681025.3777141273</v>
      </c>
      <c r="I4" s="35">
        <f>'Rachunek zysków i strat'!F21</f>
        <v>4360588.2317240871</v>
      </c>
    </row>
    <row r="5" spans="1:9" ht="57">
      <c r="A5" s="36" t="s">
        <v>65</v>
      </c>
      <c r="B5" s="37" t="s">
        <v>66</v>
      </c>
      <c r="C5" s="38" t="s">
        <v>67</v>
      </c>
      <c r="D5" s="39" t="s">
        <v>68</v>
      </c>
      <c r="E5" s="40">
        <v>0</v>
      </c>
      <c r="F5" s="40" t="e">
        <f>F4/('Rachunek zysków i strat'!C5+'Rachunek zysków i strat'!C19)</f>
        <v>#DIV/0!</v>
      </c>
      <c r="G5" s="40" t="e">
        <f>G4/('Rachunek zysków i strat'!D5+'Rachunek zysków i strat'!D19)</f>
        <v>#DIV/0!</v>
      </c>
      <c r="H5" s="40" t="e">
        <f>H4/('Rachunek zysków i strat'!E5+'Rachunek zysków i strat'!E19)</f>
        <v>#DIV/0!</v>
      </c>
      <c r="I5" s="40" t="e">
        <f>I4/('Rachunek zysków i strat'!F5+'Rachunek zysków i strat'!F19)</f>
        <v>#DIV/0!</v>
      </c>
    </row>
    <row r="6" spans="1:9" ht="57">
      <c r="A6" s="36" t="s">
        <v>69</v>
      </c>
      <c r="B6" s="62" t="s">
        <v>70</v>
      </c>
      <c r="C6" s="39" t="s">
        <v>71</v>
      </c>
      <c r="D6" s="39" t="s">
        <v>72</v>
      </c>
      <c r="E6" s="40">
        <v>0</v>
      </c>
      <c r="F6" s="40">
        <f>('bilans '!C10-'bilans '!C11-'bilans '!C20)/'bilans '!C27</f>
        <v>0.93641706037999395</v>
      </c>
      <c r="G6" s="40">
        <f>('bilans '!D10-'bilans '!D11-'bilans '!D20)/'bilans '!D27</f>
        <v>0.96718302731046912</v>
      </c>
      <c r="H6" s="40">
        <f>('bilans '!E10-'bilans '!E11-'bilans '!E20)/'bilans '!E27</f>
        <v>1.033673006602212</v>
      </c>
      <c r="I6" s="40">
        <f>('bilans '!F10-'bilans '!F11-'bilans '!F20)/'bilans '!F27</f>
        <v>1.1044910025219739</v>
      </c>
    </row>
    <row r="7" spans="1:9" ht="52.8">
      <c r="A7" s="36" t="s">
        <v>73</v>
      </c>
      <c r="B7" s="62"/>
      <c r="C7" s="39" t="s">
        <v>74</v>
      </c>
      <c r="D7" s="39" t="s">
        <v>75</v>
      </c>
      <c r="E7" s="40">
        <v>0</v>
      </c>
      <c r="F7" s="40">
        <f>('Rachunek zysków i strat'!C21+'Rachunek zysków i strat'!C10)/'bilans '!C27+'bilans '!C26</f>
        <v>0.27020720771230422</v>
      </c>
      <c r="G7" s="40">
        <f>('Rachunek zysków i strat'!D21+'Rachunek zysków i strat'!D10)/'bilans '!D27+'bilans '!D26</f>
        <v>0.91609331651409021</v>
      </c>
      <c r="H7" s="40">
        <f>('Rachunek zysków i strat'!E21+'Rachunek zysków i strat'!E10)/'bilans '!E27+'bilans '!E26</f>
        <v>1.162985982812359</v>
      </c>
      <c r="I7" s="40">
        <f>('Rachunek zysków i strat'!F21+'Rachunek zysków i strat'!F10)/'bilans '!F27+'bilans '!F26</f>
        <v>1.4467370327602862</v>
      </c>
    </row>
    <row r="8" spans="1:9" ht="39.6">
      <c r="A8" s="36" t="s">
        <v>76</v>
      </c>
      <c r="B8" s="62" t="s">
        <v>77</v>
      </c>
      <c r="C8" s="39" t="s">
        <v>78</v>
      </c>
      <c r="D8" s="39" t="s">
        <v>79</v>
      </c>
      <c r="E8" s="40">
        <v>0</v>
      </c>
      <c r="F8" s="40">
        <f>('bilans '!C27+'bilans '!C26)/('bilans '!C21)</f>
        <v>0.74841555256641434</v>
      </c>
      <c r="G8" s="40">
        <f>('bilans '!D27+'bilans '!D26)/('bilans '!D21)</f>
        <v>0.69440603340568763</v>
      </c>
      <c r="H8" s="40">
        <f>('bilans '!E27+'bilans '!E26)/('bilans '!E21)</f>
        <v>0.67085561239569114</v>
      </c>
      <c r="I8" s="40">
        <f>('bilans '!F27+'bilans '!F26)/('bilans '!F21)</f>
        <v>0.64671045415020167</v>
      </c>
    </row>
    <row r="9" spans="1:9" ht="39.6">
      <c r="A9" s="36" t="s">
        <v>80</v>
      </c>
      <c r="B9" s="62"/>
      <c r="C9" s="39" t="s">
        <v>81</v>
      </c>
      <c r="D9" s="39" t="s">
        <v>82</v>
      </c>
      <c r="E9" s="40">
        <v>0</v>
      </c>
      <c r="F9" s="40">
        <f>'bilans '!C26/('bilans '!C23+'bilans '!C25)</f>
        <v>0</v>
      </c>
      <c r="G9" s="40">
        <f>'bilans '!D26/('bilans '!D23+'bilans '!D25)</f>
        <v>0</v>
      </c>
      <c r="H9" s="40">
        <f>'bilans '!E26/('bilans '!E23+'bilans '!E25)</f>
        <v>0</v>
      </c>
      <c r="I9" s="40">
        <f>'bilans '!F26/('bilans '!F23+'bilans '!F25)</f>
        <v>0</v>
      </c>
    </row>
    <row r="10" spans="1:9" ht="26.4">
      <c r="A10" s="36" t="s">
        <v>83</v>
      </c>
      <c r="B10" s="62"/>
      <c r="C10" s="39" t="s">
        <v>84</v>
      </c>
      <c r="D10" s="39" t="s">
        <v>85</v>
      </c>
      <c r="E10" s="40">
        <v>0</v>
      </c>
      <c r="F10" s="40">
        <f>'bilans '!C22/'bilans '!C4</f>
        <v>0.84093887618874752</v>
      </c>
      <c r="G10" s="40">
        <f>'bilans '!D22/'bilans '!D4</f>
        <v>0.8553590921316887</v>
      </c>
      <c r="H10" s="40">
        <f>'bilans '!E22/'bilans '!E4</f>
        <v>0.9916964160333791</v>
      </c>
      <c r="I10" s="40">
        <f>'bilans '!F22/'bilans '!F4</f>
        <v>1.147236024699106</v>
      </c>
    </row>
  </sheetData>
  <mergeCells count="7">
    <mergeCell ref="A1:I1"/>
    <mergeCell ref="B8:B10"/>
    <mergeCell ref="A2:A3"/>
    <mergeCell ref="B2:B3"/>
    <mergeCell ref="C2:C3"/>
    <mergeCell ref="D2:D3"/>
    <mergeCell ref="B6:B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Dane to duzupełniena</vt:lpstr>
      <vt:lpstr>Stan wartościowy rzeczowego </vt:lpstr>
      <vt:lpstr>bilans </vt:lpstr>
      <vt:lpstr>Rachunek zysków i strat</vt:lpstr>
      <vt:lpstr>wskaźniki</vt:lpstr>
      <vt:lpstr>'Rachunek zysków i strat'!_Toc153129567</vt:lpstr>
      <vt:lpstr>'bilans '!Obszar_wydruku</vt:lpstr>
      <vt:lpstr>'Rachunek zysków i strat'!Obszar_wydruku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uplgr04</dc:creator>
  <cp:lastModifiedBy>Paweł Kirkowski</cp:lastModifiedBy>
  <cp:lastPrinted>2013-06-13T11:48:57Z</cp:lastPrinted>
  <dcterms:created xsi:type="dcterms:W3CDTF">2013-06-13T09:34:41Z</dcterms:created>
  <dcterms:modified xsi:type="dcterms:W3CDTF">2021-09-04T09:54:13Z</dcterms:modified>
</cp:coreProperties>
</file>